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ushgrant\Food Safety Outreach\"/>
    </mc:Choice>
  </mc:AlternateContent>
  <bookViews>
    <workbookView xWindow="0" yWindow="0" windowWidth="23040" windowHeight="8832" firstSheet="1" activeTab="4"/>
  </bookViews>
  <sheets>
    <sheet name="Sheet1" sheetId="1" r:id="rId1"/>
    <sheet name="Jan's Changes" sheetId="2" r:id="rId2"/>
    <sheet name="Jan's Calcs" sheetId="3" r:id="rId3"/>
    <sheet name="RTC Budget Form" sheetId="4" r:id="rId4"/>
    <sheet name="MISA Budget Form" sheetId="5" r:id="rId5"/>
    <sheet name="MFMA Budget Form" sheetId="6" r:id="rId6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5" l="1"/>
  <c r="J49" i="4"/>
  <c r="F26" i="5"/>
  <c r="F37" i="5"/>
  <c r="F38" i="5"/>
  <c r="F6" i="5"/>
  <c r="F17" i="5"/>
  <c r="F18" i="5"/>
  <c r="H44" i="4"/>
  <c r="H21" i="4"/>
  <c r="F19" i="5"/>
  <c r="F45" i="4"/>
  <c r="F46" i="4"/>
  <c r="F47" i="4"/>
  <c r="F21" i="4"/>
  <c r="F22" i="4"/>
  <c r="F23" i="4"/>
  <c r="F37" i="6"/>
  <c r="F38" i="6"/>
  <c r="F39" i="6"/>
  <c r="F17" i="6"/>
  <c r="F18" i="6"/>
  <c r="F19" i="6"/>
  <c r="D61" i="3"/>
  <c r="E61" i="3"/>
  <c r="D62" i="3"/>
  <c r="E62" i="3"/>
  <c r="D63" i="3"/>
  <c r="E63" i="3"/>
  <c r="E64" i="3"/>
  <c r="D64" i="3"/>
  <c r="C64" i="3"/>
  <c r="E22" i="3"/>
  <c r="E17" i="3"/>
  <c r="C13" i="3"/>
  <c r="D13" i="3"/>
  <c r="E13" i="3"/>
  <c r="B14" i="3"/>
  <c r="C14" i="3"/>
  <c r="D14" i="3"/>
  <c r="E14" i="3"/>
  <c r="E12" i="3"/>
  <c r="C10" i="3"/>
  <c r="D10" i="3"/>
  <c r="E10" i="3"/>
  <c r="B11" i="3"/>
  <c r="C11" i="3"/>
  <c r="D11" i="3"/>
  <c r="E11" i="3"/>
  <c r="E9" i="3"/>
  <c r="C7" i="3"/>
  <c r="D7" i="3"/>
  <c r="E7" i="3"/>
  <c r="B8" i="3"/>
  <c r="C8" i="3"/>
  <c r="D8" i="3"/>
  <c r="E8" i="3"/>
  <c r="E6" i="3"/>
  <c r="D54" i="3"/>
  <c r="E54" i="3"/>
  <c r="D55" i="3"/>
  <c r="E55" i="3"/>
  <c r="D56" i="3"/>
  <c r="E56" i="3"/>
  <c r="E57" i="3"/>
  <c r="D57" i="3"/>
  <c r="C57" i="3"/>
  <c r="D28" i="3"/>
  <c r="D34" i="3"/>
  <c r="D40" i="3"/>
  <c r="D49" i="3"/>
  <c r="D51" i="3"/>
  <c r="F49" i="3"/>
  <c r="F47" i="3"/>
  <c r="F44" i="3"/>
  <c r="F40" i="3"/>
  <c r="F39" i="3"/>
  <c r="F38" i="3"/>
  <c r="F37" i="3"/>
  <c r="F34" i="3"/>
  <c r="F32" i="3"/>
  <c r="F31" i="3"/>
  <c r="F30" i="3"/>
  <c r="F28" i="3"/>
  <c r="G17" i="3"/>
  <c r="G12" i="3"/>
  <c r="G9" i="3"/>
  <c r="F8" i="2"/>
  <c r="D22" i="2"/>
  <c r="F21" i="2"/>
  <c r="F20" i="2"/>
  <c r="D36" i="2"/>
  <c r="D38" i="2"/>
  <c r="F19" i="2"/>
  <c r="E36" i="2"/>
  <c r="D37" i="2"/>
  <c r="E37" i="2"/>
  <c r="E38" i="2"/>
  <c r="E39" i="2"/>
  <c r="D39" i="2"/>
  <c r="C39" i="2"/>
  <c r="D10" i="2"/>
  <c r="D16" i="2"/>
  <c r="D31" i="2"/>
  <c r="F31" i="2"/>
  <c r="F29" i="2"/>
  <c r="F26" i="2"/>
  <c r="F16" i="2"/>
  <c r="F14" i="2"/>
  <c r="F13" i="2"/>
  <c r="F12" i="2"/>
  <c r="F10" i="2"/>
  <c r="F9" i="2"/>
  <c r="F7" i="2"/>
  <c r="F6" i="2"/>
  <c r="F7" i="1"/>
  <c r="F8" i="1"/>
  <c r="F11" i="1"/>
  <c r="F12" i="1"/>
  <c r="F13" i="1"/>
  <c r="F18" i="1"/>
  <c r="F27" i="1"/>
  <c r="F6" i="1"/>
  <c r="D36" i="1"/>
  <c r="E36" i="1"/>
  <c r="D35" i="1"/>
  <c r="E35" i="1"/>
  <c r="C34" i="1"/>
  <c r="D19" i="1"/>
  <c r="D20" i="1"/>
  <c r="F20" i="1"/>
  <c r="D15" i="1"/>
  <c r="D9" i="1"/>
  <c r="F9" i="1"/>
  <c r="F19" i="1"/>
  <c r="D29" i="1"/>
  <c r="F29" i="1"/>
  <c r="D24" i="1"/>
  <c r="F24" i="1"/>
  <c r="C37" i="1"/>
  <c r="D34" i="1"/>
  <c r="E34" i="1"/>
  <c r="E37" i="1"/>
  <c r="D31" i="1"/>
  <c r="F15" i="1"/>
  <c r="D37" i="1"/>
  <c r="D33" i="2"/>
  <c r="F22" i="2"/>
</calcChain>
</file>

<file path=xl/sharedStrings.xml><?xml version="1.0" encoding="utf-8"?>
<sst xmlns="http://schemas.openxmlformats.org/spreadsheetml/2006/main" count="312" uniqueCount="97">
  <si>
    <t>RTC</t>
  </si>
  <si>
    <t>Coordinator</t>
  </si>
  <si>
    <t>MISA</t>
  </si>
  <si>
    <t>Director (Jan)</t>
  </si>
  <si>
    <t>Undergrad web person</t>
  </si>
  <si>
    <t>Salary</t>
  </si>
  <si>
    <t>Fringe</t>
  </si>
  <si>
    <t>Total</t>
  </si>
  <si>
    <t>(50 hrs)</t>
  </si>
  <si>
    <t>MFMA</t>
  </si>
  <si>
    <t>Publication development</t>
  </si>
  <si>
    <t>Staff Travel</t>
  </si>
  <si>
    <t>Travel Support for Participants</t>
  </si>
  <si>
    <t>2 yrs x 16 meetings x 6 participants x 50 miles RT x $0.54/mi.</t>
  </si>
  <si>
    <t>Case Study Stipends</t>
  </si>
  <si>
    <t>32 meetings x $150/case study</t>
  </si>
  <si>
    <t>Local coordinators for other 1/2 of meetings</t>
  </si>
  <si>
    <t>8 locations x 2 meetings x $600/mtg</t>
  </si>
  <si>
    <t>Outreach work &amp; assist w/publication devel.</t>
  </si>
  <si>
    <t>TOTAL</t>
  </si>
  <si>
    <t>Publication coordinator (Jane)</t>
  </si>
  <si>
    <t>time</t>
  </si>
  <si>
    <t>0.1 FTE</t>
  </si>
  <si>
    <t>tasks</t>
  </si>
  <si>
    <t>Case Study writer, 32 case studies x 4 hrs/case study</t>
  </si>
  <si>
    <t>Local coordinator stipends for 1/2 of meetings</t>
  </si>
  <si>
    <t>work with local teams to recruit participants, set agendas</t>
  </si>
  <si>
    <t>travel to NIFA required meetings, travel to selection of regional meetings</t>
  </si>
  <si>
    <t>grant management, participate in NIFA required meetings, assist w/ coordination &amp; evaluation</t>
  </si>
  <si>
    <t>assist in developing evaluation tools, collect information &amp; feedback from meetings, develop requested documents (fact sheets)</t>
  </si>
  <si>
    <t>put case studies &amp; other documents on MISA website</t>
  </si>
  <si>
    <t>pay for design &amp; layout and printing of documents, fact sheets, compiled resources</t>
  </si>
  <si>
    <t>Targeted outreach to food entrepreneurs and regulators within regions; recruit local coordinating teams; review publications</t>
  </si>
  <si>
    <t>Provide the $600/meeting stipend to local coordinators recruited by MFMA for 1/2 of meetings</t>
  </si>
  <si>
    <t>Could go to MFMA-recruited people but might also recruit from SFA, Extension, etc.</t>
  </si>
  <si>
    <t>Payments to case study subjects</t>
  </si>
  <si>
    <t>OTHER</t>
  </si>
  <si>
    <t>This grant allows up to 30% Indirect Costs, which out of a $150,000 budget = $105,000 in total direct costs</t>
  </si>
  <si>
    <t>This budget is for 2 years</t>
  </si>
  <si>
    <t>RTC:</t>
  </si>
  <si>
    <t>Total Direct Costs</t>
  </si>
  <si>
    <t>Indirect Costs</t>
  </si>
  <si>
    <t>TOTALS</t>
  </si>
  <si>
    <t>write one entrepreneur case study for each meeting</t>
  </si>
  <si>
    <t>(130 hrs)</t>
  </si>
  <si>
    <t>1-year</t>
  </si>
  <si>
    <t>Travel</t>
  </si>
  <si>
    <t>travel for 1 MFMA staff to at least 8 meetings x 100 RT x .54 x 2 years</t>
  </si>
  <si>
    <t>Communications Staff</t>
  </si>
  <si>
    <t>work with local teams to recruit participants, set agendas, faciliate meetings</t>
  </si>
  <si>
    <t>Develop communications materials, assist with PR and outreach, asst with meeting facilitation</t>
  </si>
  <si>
    <t>Year 1</t>
  </si>
  <si>
    <t>Year 2</t>
  </si>
  <si>
    <t>Communications Director</t>
  </si>
  <si>
    <t>Yr 1</t>
  </si>
  <si>
    <t>Yr 2</t>
  </si>
  <si>
    <t>Position</t>
  </si>
  <si>
    <t>Percent</t>
  </si>
  <si>
    <t>PD to annual NIFA mtg; airfare &amp; hotel</t>
  </si>
  <si>
    <t>PD to 2 project planning mtg in St. Paul x 140 mi RT x .54</t>
  </si>
  <si>
    <t xml:space="preserve">8 trips by coordinator to meet with regional organizers avg 200 mi RT x  .54/mi = </t>
  </si>
  <si>
    <t>Budget Period 1</t>
  </si>
  <si>
    <t>A. Senior/Key Personnel</t>
  </si>
  <si>
    <t>Jan</t>
  </si>
  <si>
    <t>Grace</t>
  </si>
  <si>
    <t>Brett</t>
  </si>
  <si>
    <t>Name</t>
  </si>
  <si>
    <t>Base</t>
  </si>
  <si>
    <t>Cal</t>
  </si>
  <si>
    <t>Months</t>
  </si>
  <si>
    <t>Requested Sal</t>
  </si>
  <si>
    <t>FB</t>
  </si>
  <si>
    <t>Funds Requested</t>
  </si>
  <si>
    <t>Budget Period 2</t>
  </si>
  <si>
    <t>Domestic</t>
  </si>
  <si>
    <t>D. Travel</t>
  </si>
  <si>
    <t>E. Participant Costs</t>
  </si>
  <si>
    <t>2. Stipends</t>
  </si>
  <si>
    <t>3. Travel</t>
  </si>
  <si>
    <t>F. Other Direct Costs</t>
  </si>
  <si>
    <t>3. Consultant Services</t>
  </si>
  <si>
    <t>5. Subawards</t>
  </si>
  <si>
    <t>RTC Budget Forms</t>
  </si>
  <si>
    <t xml:space="preserve">6 trips to facilitate regional meetings x 120 mi (avg) RT x  .54/mi = </t>
  </si>
  <si>
    <t>Kathy Zeman</t>
  </si>
  <si>
    <t>Zeman to 2 project planning mtg in St. Paul x 110 mi RT x .54</t>
  </si>
  <si>
    <t xml:space="preserve">4 trips to facilitate regional meetings x 150 mi (avg) RT x  .54/mi = </t>
  </si>
  <si>
    <t>SubTotal</t>
  </si>
  <si>
    <t>Indirect</t>
  </si>
  <si>
    <t>(40 hrs)</t>
  </si>
  <si>
    <t>Case Study Writer</t>
  </si>
  <si>
    <t>2. Publication Costs</t>
  </si>
  <si>
    <t>B. Other Personnel</t>
  </si>
  <si>
    <t>Undergranduate Web Assistant</t>
  </si>
  <si>
    <t>**Should be 17,000. Why calculated wrong???</t>
  </si>
  <si>
    <t>** Should be 17,000</t>
  </si>
  <si>
    <t>Jane Jewett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</si>
</sst>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6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Font="1"/>
    <xf numFmtId="1" fontId="1" fillId="0" borderId="0" xfId="0" applyNumberFormat="1" applyFont="1"/>
    <xf numFmtId="3" fontId="1" fillId="0" borderId="0" xfId="0" applyNumberFormat="1" applyFont="1"/>
    <xf numFmtId="1" fontId="0" fillId="3" borderId="0" xfId="0" applyNumberFormat="1" applyFill="1"/>
    <xf numFmtId="0" fontId="0" fillId="3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6" workbookViewId="0">
      <selection activeCell="A5" sqref="A1:XFD1048576"/>
    </sheetView>
  </sheetViews>
  <sheetFormatPr defaultColWidth="10.5546875" defaultRowHeight="14.4" x14ac:dyDescent="0.3"/>
  <cols>
    <col min="1" max="1" width="23.44140625" customWidth="1"/>
    <col min="2" max="2" width="14.21875" customWidth="1"/>
    <col min="3" max="3" width="16.44140625" customWidth="1"/>
    <col min="4" max="4" width="15.21875" customWidth="1"/>
    <col min="5" max="6" width="12.77734375" customWidth="1"/>
    <col min="8" max="8" width="9" customWidth="1"/>
  </cols>
  <sheetData>
    <row r="1" spans="1:7" x14ac:dyDescent="0.3">
      <c r="A1" t="s">
        <v>37</v>
      </c>
    </row>
    <row r="2" spans="1:7" x14ac:dyDescent="0.3">
      <c r="A2" t="s">
        <v>38</v>
      </c>
    </row>
    <row r="4" spans="1:7" x14ac:dyDescent="0.3">
      <c r="B4" t="s">
        <v>5</v>
      </c>
      <c r="C4" t="s">
        <v>6</v>
      </c>
      <c r="D4" t="s">
        <v>7</v>
      </c>
      <c r="E4" t="s">
        <v>21</v>
      </c>
      <c r="F4" t="s">
        <v>45</v>
      </c>
      <c r="G4" t="s">
        <v>23</v>
      </c>
    </row>
    <row r="5" spans="1:7" x14ac:dyDescent="0.3">
      <c r="A5" t="s">
        <v>0</v>
      </c>
    </row>
    <row r="6" spans="1:7" x14ac:dyDescent="0.3">
      <c r="A6" t="s">
        <v>3</v>
      </c>
      <c r="D6" s="1">
        <v>16000</v>
      </c>
      <c r="F6" s="1">
        <f>D6/2</f>
        <v>8000</v>
      </c>
      <c r="G6" t="s">
        <v>28</v>
      </c>
    </row>
    <row r="7" spans="1:7" x14ac:dyDescent="0.3">
      <c r="A7" t="s">
        <v>1</v>
      </c>
      <c r="D7" s="1">
        <v>26000</v>
      </c>
      <c r="F7" s="1">
        <f>D7/2</f>
        <v>13000</v>
      </c>
      <c r="G7" t="s">
        <v>26</v>
      </c>
    </row>
    <row r="8" spans="1:7" x14ac:dyDescent="0.3">
      <c r="A8" t="s">
        <v>11</v>
      </c>
      <c r="D8" s="1">
        <v>3000</v>
      </c>
      <c r="F8" s="1">
        <f>D8/2</f>
        <v>1500</v>
      </c>
      <c r="G8" t="s">
        <v>27</v>
      </c>
    </row>
    <row r="9" spans="1:7" x14ac:dyDescent="0.3">
      <c r="D9" s="2">
        <f>SUM(D6:D8)</f>
        <v>45000</v>
      </c>
      <c r="F9" s="2">
        <f>D9/2</f>
        <v>22500</v>
      </c>
    </row>
    <row r="10" spans="1:7" x14ac:dyDescent="0.3">
      <c r="A10" t="s">
        <v>2</v>
      </c>
      <c r="F10" s="1"/>
    </row>
    <row r="11" spans="1:7" x14ac:dyDescent="0.3">
      <c r="A11" t="s">
        <v>20</v>
      </c>
      <c r="D11" s="1">
        <v>16000</v>
      </c>
      <c r="E11" t="s">
        <v>22</v>
      </c>
      <c r="F11" s="1">
        <f>D11/2</f>
        <v>8000</v>
      </c>
      <c r="G11" t="s">
        <v>29</v>
      </c>
    </row>
    <row r="12" spans="1:7" x14ac:dyDescent="0.3">
      <c r="A12" t="s">
        <v>24</v>
      </c>
      <c r="D12" s="1">
        <v>3500</v>
      </c>
      <c r="E12" t="s">
        <v>44</v>
      </c>
      <c r="F12" s="1">
        <f>D12/2</f>
        <v>1750</v>
      </c>
      <c r="G12" t="s">
        <v>43</v>
      </c>
    </row>
    <row r="13" spans="1:7" x14ac:dyDescent="0.3">
      <c r="A13" t="s">
        <v>4</v>
      </c>
      <c r="D13">
        <v>600</v>
      </c>
      <c r="E13" t="s">
        <v>8</v>
      </c>
      <c r="F13" s="1">
        <f>D13/2</f>
        <v>300</v>
      </c>
      <c r="G13" t="s">
        <v>30</v>
      </c>
    </row>
    <row r="14" spans="1:7" x14ac:dyDescent="0.3">
      <c r="A14" t="s">
        <v>10</v>
      </c>
      <c r="D14" s="1">
        <v>3700</v>
      </c>
      <c r="F14" s="1">
        <v>1850</v>
      </c>
      <c r="G14" t="s">
        <v>31</v>
      </c>
    </row>
    <row r="15" spans="1:7" x14ac:dyDescent="0.3">
      <c r="D15" s="2">
        <f>SUM(D11:D14)</f>
        <v>23800</v>
      </c>
      <c r="F15" s="2">
        <f>D15/2</f>
        <v>11900</v>
      </c>
    </row>
    <row r="16" spans="1:7" x14ac:dyDescent="0.3">
      <c r="F16" s="1"/>
    </row>
    <row r="17" spans="1:7" x14ac:dyDescent="0.3">
      <c r="A17" t="s">
        <v>9</v>
      </c>
      <c r="F17" s="1"/>
    </row>
    <row r="18" spans="1:7" x14ac:dyDescent="0.3">
      <c r="A18" t="s">
        <v>18</v>
      </c>
      <c r="D18" s="1">
        <v>7000</v>
      </c>
      <c r="F18" s="1">
        <f>D18/2</f>
        <v>3500</v>
      </c>
      <c r="G18" t="s">
        <v>32</v>
      </c>
    </row>
    <row r="19" spans="1:7" x14ac:dyDescent="0.3">
      <c r="A19" t="s">
        <v>25</v>
      </c>
      <c r="D19">
        <f>8*2*600</f>
        <v>9600</v>
      </c>
      <c r="F19" s="1">
        <f>D19/2</f>
        <v>4800</v>
      </c>
      <c r="G19" t="s">
        <v>33</v>
      </c>
    </row>
    <row r="20" spans="1:7" x14ac:dyDescent="0.3">
      <c r="D20" s="2">
        <f>SUM(D18:D19)</f>
        <v>16600</v>
      </c>
      <c r="F20" s="2">
        <f>D20/2</f>
        <v>8300</v>
      </c>
    </row>
    <row r="21" spans="1:7" x14ac:dyDescent="0.3">
      <c r="A21" t="s">
        <v>36</v>
      </c>
      <c r="F21" s="1"/>
    </row>
    <row r="22" spans="1:7" x14ac:dyDescent="0.3">
      <c r="F22" s="1"/>
    </row>
    <row r="23" spans="1:7" x14ac:dyDescent="0.3">
      <c r="A23" t="s">
        <v>12</v>
      </c>
      <c r="F23" s="1"/>
    </row>
    <row r="24" spans="1:7" x14ac:dyDescent="0.3">
      <c r="A24" t="s">
        <v>13</v>
      </c>
      <c r="D24" s="3">
        <f>2*16*6*50*0.54</f>
        <v>5184</v>
      </c>
      <c r="F24" s="2">
        <f>D24/2</f>
        <v>2592</v>
      </c>
    </row>
    <row r="25" spans="1:7" x14ac:dyDescent="0.3">
      <c r="F25" s="1"/>
    </row>
    <row r="26" spans="1:7" x14ac:dyDescent="0.3">
      <c r="A26" t="s">
        <v>16</v>
      </c>
      <c r="F26" s="1"/>
    </row>
    <row r="27" spans="1:7" x14ac:dyDescent="0.3">
      <c r="A27" t="s">
        <v>17</v>
      </c>
      <c r="D27" s="2">
        <v>9600</v>
      </c>
      <c r="F27" s="2">
        <f>D27/2</f>
        <v>4800</v>
      </c>
      <c r="G27" t="s">
        <v>34</v>
      </c>
    </row>
    <row r="28" spans="1:7" x14ac:dyDescent="0.3">
      <c r="F28" s="1"/>
    </row>
    <row r="29" spans="1:7" x14ac:dyDescent="0.3">
      <c r="A29" t="s">
        <v>14</v>
      </c>
      <c r="D29" s="3">
        <f>32*150</f>
        <v>4800</v>
      </c>
      <c r="F29" s="2">
        <f>D29/2</f>
        <v>2400</v>
      </c>
      <c r="G29" t="s">
        <v>35</v>
      </c>
    </row>
    <row r="30" spans="1:7" x14ac:dyDescent="0.3">
      <c r="A30" t="s">
        <v>15</v>
      </c>
      <c r="D30" s="1"/>
    </row>
    <row r="31" spans="1:7" x14ac:dyDescent="0.3">
      <c r="C31" t="s">
        <v>19</v>
      </c>
      <c r="D31" s="1">
        <f>D9+D15+D20+D24+D27+D29</f>
        <v>104984</v>
      </c>
    </row>
    <row r="33" spans="2:6" x14ac:dyDescent="0.3">
      <c r="C33" t="s">
        <v>40</v>
      </c>
      <c r="D33" t="s">
        <v>41</v>
      </c>
      <c r="E33" t="s">
        <v>7</v>
      </c>
    </row>
    <row r="34" spans="2:6" x14ac:dyDescent="0.3">
      <c r="B34" t="s">
        <v>39</v>
      </c>
      <c r="C34" s="4">
        <f>45000+5184+9600+4800</f>
        <v>64584</v>
      </c>
      <c r="D34" s="4">
        <f>(C34/0.7)-C34</f>
        <v>27678.857142857145</v>
      </c>
      <c r="E34" s="4">
        <f>C34+D34</f>
        <v>92262.857142857145</v>
      </c>
      <c r="F34" s="4"/>
    </row>
    <row r="35" spans="2:6" x14ac:dyDescent="0.3">
      <c r="B35" t="s">
        <v>2</v>
      </c>
      <c r="C35" s="4">
        <v>23800</v>
      </c>
      <c r="D35" s="4">
        <f t="shared" ref="D35:D36" si="0">(C35/0.7)-C35</f>
        <v>10200</v>
      </c>
      <c r="E35" s="4">
        <f t="shared" ref="E35:E36" si="1">C35+D35</f>
        <v>34000</v>
      </c>
      <c r="F35" s="4"/>
    </row>
    <row r="36" spans="2:6" x14ac:dyDescent="0.3">
      <c r="B36" t="s">
        <v>9</v>
      </c>
      <c r="C36" s="4">
        <v>16600</v>
      </c>
      <c r="D36" s="4">
        <f t="shared" si="0"/>
        <v>7114.2857142857174</v>
      </c>
      <c r="E36" s="4">
        <f t="shared" si="1"/>
        <v>23714.285714285717</v>
      </c>
      <c r="F36" s="4"/>
    </row>
    <row r="37" spans="2:6" x14ac:dyDescent="0.3">
      <c r="B37" s="3" t="s">
        <v>42</v>
      </c>
      <c r="C37" s="5">
        <f>SUM(C34:C36)</f>
        <v>104984</v>
      </c>
      <c r="D37" s="5">
        <f>SUM(D34:D36)</f>
        <v>44993.142857142862</v>
      </c>
      <c r="E37" s="5">
        <f>SUM(E34:E36)</f>
        <v>149977.14285714287</v>
      </c>
      <c r="F37" s="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8" zoomScale="114" workbookViewId="0">
      <selection activeCell="A26" sqref="A26"/>
    </sheetView>
  </sheetViews>
  <sheetFormatPr defaultColWidth="10.5546875" defaultRowHeight="14.4" x14ac:dyDescent="0.3"/>
  <cols>
    <col min="1" max="1" width="23.44140625" customWidth="1"/>
    <col min="2" max="2" width="14.21875" customWidth="1"/>
    <col min="3" max="3" width="16.44140625" customWidth="1"/>
    <col min="4" max="4" width="15.21875" customWidth="1"/>
    <col min="5" max="6" width="12.77734375" customWidth="1"/>
    <col min="8" max="8" width="9" customWidth="1"/>
  </cols>
  <sheetData>
    <row r="1" spans="1:7" x14ac:dyDescent="0.3">
      <c r="A1" t="s">
        <v>37</v>
      </c>
    </row>
    <row r="2" spans="1:7" x14ac:dyDescent="0.3">
      <c r="A2" t="s">
        <v>38</v>
      </c>
    </row>
    <row r="4" spans="1:7" x14ac:dyDescent="0.3">
      <c r="B4" t="s">
        <v>5</v>
      </c>
      <c r="C4" t="s">
        <v>6</v>
      </c>
      <c r="D4" t="s">
        <v>7</v>
      </c>
      <c r="E4" t="s">
        <v>21</v>
      </c>
      <c r="F4" t="s">
        <v>45</v>
      </c>
      <c r="G4" t="s">
        <v>23</v>
      </c>
    </row>
    <row r="5" spans="1:7" x14ac:dyDescent="0.3">
      <c r="A5" t="s">
        <v>0</v>
      </c>
    </row>
    <row r="6" spans="1:7" x14ac:dyDescent="0.3">
      <c r="A6" t="s">
        <v>3</v>
      </c>
      <c r="D6" s="1">
        <v>17000</v>
      </c>
      <c r="F6" s="1">
        <f>D6/2</f>
        <v>8500</v>
      </c>
      <c r="G6" t="s">
        <v>28</v>
      </c>
    </row>
    <row r="7" spans="1:7" x14ac:dyDescent="0.3">
      <c r="A7" t="s">
        <v>1</v>
      </c>
      <c r="D7" s="1">
        <v>32000</v>
      </c>
      <c r="F7" s="1">
        <f>D7/2</f>
        <v>16000</v>
      </c>
      <c r="G7" t="s">
        <v>49</v>
      </c>
    </row>
    <row r="8" spans="1:7" x14ac:dyDescent="0.3">
      <c r="A8" t="s">
        <v>48</v>
      </c>
      <c r="D8" s="1">
        <v>5000</v>
      </c>
      <c r="F8" s="1">
        <f>D8/2</f>
        <v>2500</v>
      </c>
      <c r="G8" t="s">
        <v>50</v>
      </c>
    </row>
    <row r="9" spans="1:7" x14ac:dyDescent="0.3">
      <c r="A9" t="s">
        <v>11</v>
      </c>
      <c r="D9" s="1">
        <v>4000</v>
      </c>
      <c r="F9" s="1">
        <f>D9/2</f>
        <v>2000</v>
      </c>
      <c r="G9" t="s">
        <v>27</v>
      </c>
    </row>
    <row r="10" spans="1:7" x14ac:dyDescent="0.3">
      <c r="D10" s="2">
        <f>SUM(D6:D9)</f>
        <v>58000</v>
      </c>
      <c r="F10" s="2">
        <f>D10/2</f>
        <v>29000</v>
      </c>
    </row>
    <row r="11" spans="1:7" x14ac:dyDescent="0.3">
      <c r="A11" t="s">
        <v>2</v>
      </c>
      <c r="F11" s="1"/>
    </row>
    <row r="12" spans="1:7" x14ac:dyDescent="0.3">
      <c r="A12" t="s">
        <v>20</v>
      </c>
      <c r="D12" s="1">
        <v>16000</v>
      </c>
      <c r="E12" t="s">
        <v>22</v>
      </c>
      <c r="F12" s="1">
        <f>D12/2</f>
        <v>8000</v>
      </c>
      <c r="G12" t="s">
        <v>29</v>
      </c>
    </row>
    <row r="13" spans="1:7" x14ac:dyDescent="0.3">
      <c r="A13" t="s">
        <v>24</v>
      </c>
      <c r="D13" s="1">
        <v>3500</v>
      </c>
      <c r="E13" t="s">
        <v>44</v>
      </c>
      <c r="F13" s="1">
        <f>D13/2</f>
        <v>1750</v>
      </c>
      <c r="G13" t="s">
        <v>43</v>
      </c>
    </row>
    <row r="14" spans="1:7" x14ac:dyDescent="0.3">
      <c r="A14" t="s">
        <v>4</v>
      </c>
      <c r="D14">
        <v>600</v>
      </c>
      <c r="E14" t="s">
        <v>8</v>
      </c>
      <c r="F14" s="1">
        <f>D14/2</f>
        <v>300</v>
      </c>
      <c r="G14" t="s">
        <v>30</v>
      </c>
    </row>
    <row r="15" spans="1:7" x14ac:dyDescent="0.3">
      <c r="A15" t="s">
        <v>10</v>
      </c>
      <c r="D15" s="1">
        <v>3700</v>
      </c>
      <c r="F15" s="1">
        <v>1850</v>
      </c>
      <c r="G15" t="s">
        <v>31</v>
      </c>
    </row>
    <row r="16" spans="1:7" x14ac:dyDescent="0.3">
      <c r="D16" s="2">
        <f>SUM(D12:D15)</f>
        <v>23800</v>
      </c>
      <c r="F16" s="2">
        <f>D16/2</f>
        <v>11900</v>
      </c>
    </row>
    <row r="17" spans="1:7" x14ac:dyDescent="0.3">
      <c r="F17" s="1"/>
    </row>
    <row r="18" spans="1:7" x14ac:dyDescent="0.3">
      <c r="A18" t="s">
        <v>9</v>
      </c>
      <c r="F18" s="1"/>
    </row>
    <row r="19" spans="1:7" x14ac:dyDescent="0.3">
      <c r="A19" t="s">
        <v>18</v>
      </c>
      <c r="D19" s="1">
        <v>16000</v>
      </c>
      <c r="F19" s="1">
        <f>D19/2</f>
        <v>8000</v>
      </c>
      <c r="G19" t="s">
        <v>32</v>
      </c>
    </row>
    <row r="20" spans="1:7" x14ac:dyDescent="0.3">
      <c r="A20" t="s">
        <v>25</v>
      </c>
      <c r="D20" s="6">
        <v>9600</v>
      </c>
      <c r="F20" s="1">
        <f>D20/2</f>
        <v>4800</v>
      </c>
      <c r="G20" t="s">
        <v>33</v>
      </c>
    </row>
    <row r="21" spans="1:7" x14ac:dyDescent="0.3">
      <c r="A21" t="s">
        <v>46</v>
      </c>
      <c r="D21" s="6">
        <v>864</v>
      </c>
      <c r="F21" s="1">
        <f>D21/2</f>
        <v>432</v>
      </c>
      <c r="G21" t="s">
        <v>47</v>
      </c>
    </row>
    <row r="22" spans="1:7" x14ac:dyDescent="0.3">
      <c r="D22" s="2">
        <f>SUM(D19:D21)</f>
        <v>26464</v>
      </c>
      <c r="F22" s="2">
        <f>D22/2</f>
        <v>13232</v>
      </c>
    </row>
    <row r="23" spans="1:7" x14ac:dyDescent="0.3">
      <c r="A23" t="s">
        <v>36</v>
      </c>
      <c r="F23" s="1"/>
    </row>
    <row r="24" spans="1:7" x14ac:dyDescent="0.3">
      <c r="F24" s="1"/>
    </row>
    <row r="25" spans="1:7" x14ac:dyDescent="0.3">
      <c r="A25" t="s">
        <v>12</v>
      </c>
      <c r="F25" s="1"/>
    </row>
    <row r="26" spans="1:7" x14ac:dyDescent="0.3">
      <c r="A26" t="s">
        <v>13</v>
      </c>
      <c r="D26" s="3">
        <v>5184</v>
      </c>
      <c r="F26" s="2">
        <f>D26/2</f>
        <v>2592</v>
      </c>
    </row>
    <row r="27" spans="1:7" x14ac:dyDescent="0.3">
      <c r="F27" s="1"/>
    </row>
    <row r="28" spans="1:7" x14ac:dyDescent="0.3">
      <c r="A28" t="s">
        <v>16</v>
      </c>
      <c r="F28" s="1"/>
    </row>
    <row r="29" spans="1:7" x14ac:dyDescent="0.3">
      <c r="A29" t="s">
        <v>17</v>
      </c>
      <c r="B29" s="6">
        <v>1000</v>
      </c>
      <c r="D29" s="2">
        <v>9600</v>
      </c>
      <c r="F29" s="2">
        <f>D29/2</f>
        <v>4800</v>
      </c>
      <c r="G29" t="s">
        <v>34</v>
      </c>
    </row>
    <row r="30" spans="1:7" x14ac:dyDescent="0.3">
      <c r="F30" s="1"/>
    </row>
    <row r="31" spans="1:7" x14ac:dyDescent="0.3">
      <c r="A31" t="s">
        <v>14</v>
      </c>
      <c r="D31" s="3">
        <f>32*150</f>
        <v>4800</v>
      </c>
      <c r="F31" s="2">
        <f>D31/2</f>
        <v>2400</v>
      </c>
      <c r="G31" t="s">
        <v>35</v>
      </c>
    </row>
    <row r="32" spans="1:7" x14ac:dyDescent="0.3">
      <c r="A32" t="s">
        <v>15</v>
      </c>
      <c r="D32" s="1"/>
    </row>
    <row r="33" spans="2:7" x14ac:dyDescent="0.3">
      <c r="C33" t="s">
        <v>19</v>
      </c>
      <c r="D33" s="1">
        <f>D10+D16+D22+D26+D29+D31</f>
        <v>127848</v>
      </c>
    </row>
    <row r="35" spans="2:7" x14ac:dyDescent="0.3">
      <c r="C35" t="s">
        <v>40</v>
      </c>
      <c r="D35" t="s">
        <v>41</v>
      </c>
      <c r="E35" t="s">
        <v>7</v>
      </c>
      <c r="G35" s="1"/>
    </row>
    <row r="36" spans="2:7" x14ac:dyDescent="0.3">
      <c r="B36" t="s">
        <v>39</v>
      </c>
      <c r="C36" s="4">
        <v>77584</v>
      </c>
      <c r="D36" s="4">
        <f>(C36/0.9)-C36</f>
        <v>8620.444444444438</v>
      </c>
      <c r="E36" s="4">
        <f>C36+D36</f>
        <v>86204.444444444438</v>
      </c>
      <c r="F36" s="4"/>
    </row>
    <row r="37" spans="2:7" x14ac:dyDescent="0.3">
      <c r="B37" t="s">
        <v>2</v>
      </c>
      <c r="C37" s="4">
        <v>23800</v>
      </c>
      <c r="D37" s="4">
        <f t="shared" ref="D37" si="0">(C37/0.7)-C37</f>
        <v>10200</v>
      </c>
      <c r="E37" s="4">
        <f t="shared" ref="E37:E38" si="1">C37+D37</f>
        <v>34000</v>
      </c>
      <c r="F37" s="4"/>
    </row>
    <row r="38" spans="2:7" x14ac:dyDescent="0.3">
      <c r="B38" t="s">
        <v>9</v>
      </c>
      <c r="C38" s="4">
        <v>26464</v>
      </c>
      <c r="D38" s="4">
        <f>(C38/0.9)-C38</f>
        <v>2940.4444444444453</v>
      </c>
      <c r="E38" s="4">
        <f t="shared" si="1"/>
        <v>29404.444444444445</v>
      </c>
      <c r="F38" s="4"/>
    </row>
    <row r="39" spans="2:7" x14ac:dyDescent="0.3">
      <c r="B39" s="3" t="s">
        <v>42</v>
      </c>
      <c r="C39" s="5">
        <f>SUM(C36:C38)</f>
        <v>127848</v>
      </c>
      <c r="D39" s="5">
        <f>SUM(D36:D38)</f>
        <v>21760.888888888883</v>
      </c>
      <c r="E39" s="5">
        <f>SUM(E36:E38)</f>
        <v>149608.88888888888</v>
      </c>
      <c r="F3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98" workbookViewId="0">
      <selection activeCell="E32" sqref="E32"/>
    </sheetView>
  </sheetViews>
  <sheetFormatPr defaultColWidth="10.5546875" defaultRowHeight="14.4" x14ac:dyDescent="0.3"/>
  <cols>
    <col min="1" max="1" width="8.21875" customWidth="1"/>
    <col min="2" max="2" width="21.77734375" customWidth="1"/>
    <col min="3" max="3" width="16.44140625" customWidth="1"/>
    <col min="4" max="4" width="15.21875" customWidth="1"/>
    <col min="5" max="5" width="12.77734375" customWidth="1"/>
    <col min="6" max="6" width="12.77734375" style="7" customWidth="1"/>
    <col min="8" max="8" width="9" customWidth="1"/>
  </cols>
  <sheetData>
    <row r="1" spans="1:8" x14ac:dyDescent="0.3">
      <c r="A1" t="s">
        <v>37</v>
      </c>
    </row>
    <row r="2" spans="1:8" x14ac:dyDescent="0.3">
      <c r="A2" t="s">
        <v>38</v>
      </c>
    </row>
    <row r="4" spans="1:8" x14ac:dyDescent="0.3">
      <c r="B4" t="s">
        <v>56</v>
      </c>
      <c r="C4" t="s">
        <v>5</v>
      </c>
      <c r="D4" t="s">
        <v>6</v>
      </c>
      <c r="E4" t="s">
        <v>7</v>
      </c>
      <c r="F4" s="7" t="s">
        <v>57</v>
      </c>
      <c r="G4" t="s">
        <v>23</v>
      </c>
    </row>
    <row r="5" spans="1:8" x14ac:dyDescent="0.3">
      <c r="A5" t="s">
        <v>0</v>
      </c>
    </row>
    <row r="6" spans="1:8" x14ac:dyDescent="0.3">
      <c r="B6" t="s">
        <v>3</v>
      </c>
      <c r="E6" s="1">
        <f>SUM(E7:E8)</f>
        <v>16361.8</v>
      </c>
      <c r="F6"/>
      <c r="G6" s="8"/>
      <c r="H6" t="s">
        <v>28</v>
      </c>
    </row>
    <row r="7" spans="1:8" ht="16.05" customHeight="1" x14ac:dyDescent="0.3">
      <c r="A7" t="s">
        <v>54</v>
      </c>
      <c r="B7">
        <v>62000</v>
      </c>
      <c r="C7">
        <f>SUM(B7*0.1)</f>
        <v>6200</v>
      </c>
      <c r="D7">
        <f>SUM(C7*0.3)</f>
        <v>1860</v>
      </c>
      <c r="E7" s="1">
        <f>SUM(C7:D7)</f>
        <v>8060</v>
      </c>
      <c r="F7">
        <v>0.1</v>
      </c>
      <c r="G7" s="8" t="s">
        <v>51</v>
      </c>
    </row>
    <row r="8" spans="1:8" x14ac:dyDescent="0.3">
      <c r="A8" t="s">
        <v>55</v>
      </c>
      <c r="B8">
        <f>SUM(B7*1.03)</f>
        <v>63860</v>
      </c>
      <c r="C8">
        <f>SUM(B8*0.1)</f>
        <v>6386</v>
      </c>
      <c r="D8">
        <f>SUM(C8*0.3)</f>
        <v>1915.8</v>
      </c>
      <c r="E8" s="1">
        <f>SUM(C8:D8)</f>
        <v>8301.7999999999993</v>
      </c>
      <c r="F8">
        <v>0.1</v>
      </c>
      <c r="G8" s="8" t="s">
        <v>52</v>
      </c>
    </row>
    <row r="9" spans="1:8" x14ac:dyDescent="0.3">
      <c r="B9" t="s">
        <v>1</v>
      </c>
      <c r="E9" s="1">
        <f>SUM(E10:E11)</f>
        <v>29688.75</v>
      </c>
      <c r="F9"/>
      <c r="G9" s="8">
        <f>E9/2</f>
        <v>14844.375</v>
      </c>
      <c r="H9" t="s">
        <v>49</v>
      </c>
    </row>
    <row r="10" spans="1:8" ht="16.05" customHeight="1" x14ac:dyDescent="0.3">
      <c r="B10">
        <v>45000</v>
      </c>
      <c r="C10">
        <f>SUM(B10*0.25)</f>
        <v>11250</v>
      </c>
      <c r="D10">
        <f>SUM(C10*0.3)</f>
        <v>3375</v>
      </c>
      <c r="E10" s="1">
        <f>SUM(C10:D10)</f>
        <v>14625</v>
      </c>
      <c r="F10">
        <v>0.25</v>
      </c>
      <c r="G10" s="8" t="s">
        <v>51</v>
      </c>
    </row>
    <row r="11" spans="1:8" x14ac:dyDescent="0.3">
      <c r="B11">
        <f>SUM(B10*1.03)</f>
        <v>46350</v>
      </c>
      <c r="C11">
        <f>SUM(B11*0.25)</f>
        <v>11587.5</v>
      </c>
      <c r="D11">
        <f>SUM(C11*0.3)</f>
        <v>3476.25</v>
      </c>
      <c r="E11" s="1">
        <f>SUM(C11:D11)</f>
        <v>15063.75</v>
      </c>
      <c r="F11">
        <v>0.25</v>
      </c>
      <c r="G11" s="8" t="s">
        <v>52</v>
      </c>
    </row>
    <row r="12" spans="1:8" x14ac:dyDescent="0.3">
      <c r="B12" t="s">
        <v>53</v>
      </c>
      <c r="E12" s="1">
        <f>SUM(E13:E14)</f>
        <v>7055.234550000001</v>
      </c>
      <c r="F12"/>
      <c r="G12" s="8">
        <f>E12/2</f>
        <v>3527.6172750000005</v>
      </c>
      <c r="H12" t="s">
        <v>50</v>
      </c>
    </row>
    <row r="13" spans="1:8" ht="16.05" customHeight="1" x14ac:dyDescent="0.3">
      <c r="B13">
        <v>53469</v>
      </c>
      <c r="C13">
        <f>SUM(B13*0.05)</f>
        <v>2673.4500000000003</v>
      </c>
      <c r="D13">
        <f>SUM(C13*0.3)</f>
        <v>802.03500000000008</v>
      </c>
      <c r="E13" s="1">
        <f>SUM(C13:D13)</f>
        <v>3475.4850000000006</v>
      </c>
      <c r="F13">
        <v>0.05</v>
      </c>
      <c r="G13" s="8" t="s">
        <v>51</v>
      </c>
    </row>
    <row r="14" spans="1:8" x14ac:dyDescent="0.3">
      <c r="B14">
        <f>SUM(B13*1.03)</f>
        <v>55073.07</v>
      </c>
      <c r="C14">
        <f>SUM(B14*0.05)</f>
        <v>2753.6535000000003</v>
      </c>
      <c r="D14">
        <f>SUM(C14*0.3)</f>
        <v>826.0960500000001</v>
      </c>
      <c r="E14" s="1">
        <f>SUM(C14:D14)</f>
        <v>3579.7495500000005</v>
      </c>
      <c r="F14">
        <v>0.05</v>
      </c>
      <c r="G14" s="8" t="s">
        <v>52</v>
      </c>
    </row>
    <row r="15" spans="1:8" x14ac:dyDescent="0.3">
      <c r="E15" s="1"/>
      <c r="F15"/>
      <c r="G15" s="8"/>
    </row>
    <row r="16" spans="1:8" x14ac:dyDescent="0.3">
      <c r="B16" t="s">
        <v>11</v>
      </c>
      <c r="E16" s="1"/>
      <c r="F16"/>
      <c r="G16" s="8"/>
    </row>
    <row r="17" spans="1:8" x14ac:dyDescent="0.3">
      <c r="A17" t="s">
        <v>51</v>
      </c>
      <c r="E17" s="1">
        <f>SUM(E18:E21)</f>
        <v>2205</v>
      </c>
      <c r="F17"/>
      <c r="G17" s="8">
        <f>E17/2</f>
        <v>1102.5</v>
      </c>
      <c r="H17" t="s">
        <v>27</v>
      </c>
    </row>
    <row r="18" spans="1:8" x14ac:dyDescent="0.3">
      <c r="B18" t="s">
        <v>58</v>
      </c>
      <c r="E18" s="1">
        <v>800</v>
      </c>
      <c r="F18"/>
      <c r="G18" s="8"/>
    </row>
    <row r="19" spans="1:8" x14ac:dyDescent="0.3">
      <c r="B19" t="s">
        <v>59</v>
      </c>
      <c r="E19" s="1">
        <v>152</v>
      </c>
      <c r="F19"/>
      <c r="G19" s="8"/>
    </row>
    <row r="20" spans="1:8" x14ac:dyDescent="0.3">
      <c r="B20" t="s">
        <v>60</v>
      </c>
      <c r="E20" s="1">
        <v>864</v>
      </c>
      <c r="F20"/>
      <c r="G20" s="8"/>
    </row>
    <row r="21" spans="1:8" x14ac:dyDescent="0.3">
      <c r="B21" t="s">
        <v>83</v>
      </c>
      <c r="E21" s="1">
        <v>389</v>
      </c>
      <c r="F21"/>
      <c r="G21" s="8"/>
    </row>
    <row r="22" spans="1:8" x14ac:dyDescent="0.3">
      <c r="A22" t="s">
        <v>52</v>
      </c>
      <c r="E22" s="1">
        <f>SUM(E23:E25)</f>
        <v>1341</v>
      </c>
      <c r="F22"/>
      <c r="G22" s="8"/>
    </row>
    <row r="23" spans="1:8" x14ac:dyDescent="0.3">
      <c r="B23" t="s">
        <v>58</v>
      </c>
      <c r="E23" s="1">
        <v>800</v>
      </c>
      <c r="F23"/>
      <c r="G23" s="8"/>
    </row>
    <row r="24" spans="1:8" x14ac:dyDescent="0.3">
      <c r="B24" t="s">
        <v>59</v>
      </c>
      <c r="E24" s="1">
        <v>152</v>
      </c>
      <c r="F24"/>
      <c r="G24" s="8"/>
    </row>
    <row r="25" spans="1:8" x14ac:dyDescent="0.3">
      <c r="B25" t="s">
        <v>83</v>
      </c>
      <c r="E25" s="1">
        <v>389</v>
      </c>
      <c r="F25"/>
      <c r="G25" s="8"/>
    </row>
    <row r="26" spans="1:8" x14ac:dyDescent="0.3">
      <c r="E26" s="1"/>
      <c r="F26"/>
      <c r="G26" s="8"/>
    </row>
    <row r="27" spans="1:8" x14ac:dyDescent="0.3">
      <c r="E27" s="1"/>
      <c r="F27"/>
      <c r="G27" s="8"/>
    </row>
    <row r="28" spans="1:8" x14ac:dyDescent="0.3">
      <c r="D28" s="2">
        <f>SUM(E6:E17)</f>
        <v>108416.56909999999</v>
      </c>
      <c r="F28" s="9">
        <f>D28/2</f>
        <v>54208.284549999997</v>
      </c>
    </row>
    <row r="29" spans="1:8" x14ac:dyDescent="0.3">
      <c r="A29" t="s">
        <v>2</v>
      </c>
      <c r="F29" s="8"/>
    </row>
    <row r="30" spans="1:8" x14ac:dyDescent="0.3">
      <c r="A30" t="s">
        <v>20</v>
      </c>
      <c r="D30" s="1">
        <v>16000</v>
      </c>
      <c r="E30" t="s">
        <v>22</v>
      </c>
      <c r="F30" s="8">
        <f>D30/2</f>
        <v>8000</v>
      </c>
      <c r="G30" t="s">
        <v>29</v>
      </c>
    </row>
    <row r="31" spans="1:8" x14ac:dyDescent="0.3">
      <c r="A31" t="s">
        <v>24</v>
      </c>
      <c r="D31" s="1">
        <v>3500</v>
      </c>
      <c r="E31" t="s">
        <v>44</v>
      </c>
      <c r="F31" s="8">
        <f>D31/2</f>
        <v>1750</v>
      </c>
      <c r="G31" t="s">
        <v>43</v>
      </c>
    </row>
    <row r="32" spans="1:8" x14ac:dyDescent="0.3">
      <c r="A32" t="s">
        <v>4</v>
      </c>
      <c r="D32">
        <v>600</v>
      </c>
      <c r="E32" t="s">
        <v>89</v>
      </c>
      <c r="F32" s="8">
        <f>D32/2</f>
        <v>300</v>
      </c>
      <c r="G32" t="s">
        <v>30</v>
      </c>
    </row>
    <row r="33" spans="1:7" x14ac:dyDescent="0.3">
      <c r="A33" t="s">
        <v>10</v>
      </c>
      <c r="D33" s="1">
        <v>3700</v>
      </c>
      <c r="F33" s="8">
        <v>1850</v>
      </c>
      <c r="G33" t="s">
        <v>31</v>
      </c>
    </row>
    <row r="34" spans="1:7" x14ac:dyDescent="0.3">
      <c r="D34" s="2">
        <f>SUM(D30:D33)</f>
        <v>23800</v>
      </c>
      <c r="F34" s="9">
        <f>D34/2</f>
        <v>11900</v>
      </c>
    </row>
    <row r="35" spans="1:7" x14ac:dyDescent="0.3">
      <c r="F35" s="8"/>
    </row>
    <row r="36" spans="1:7" x14ac:dyDescent="0.3">
      <c r="A36" t="s">
        <v>9</v>
      </c>
      <c r="F36" s="8"/>
    </row>
    <row r="37" spans="1:7" x14ac:dyDescent="0.3">
      <c r="A37" t="s">
        <v>18</v>
      </c>
      <c r="D37" s="1">
        <v>16000</v>
      </c>
      <c r="F37" s="8">
        <f>D37/2</f>
        <v>8000</v>
      </c>
      <c r="G37" t="s">
        <v>32</v>
      </c>
    </row>
    <row r="38" spans="1:7" x14ac:dyDescent="0.3">
      <c r="A38" t="s">
        <v>25</v>
      </c>
      <c r="D38" s="6">
        <v>9600</v>
      </c>
      <c r="F38" s="8">
        <f>D38/2</f>
        <v>4800</v>
      </c>
      <c r="G38" t="s">
        <v>33</v>
      </c>
    </row>
    <row r="39" spans="1:7" x14ac:dyDescent="0.3">
      <c r="A39" t="s">
        <v>46</v>
      </c>
      <c r="D39" s="6">
        <v>864</v>
      </c>
      <c r="F39" s="8">
        <f>D39/2</f>
        <v>432</v>
      </c>
      <c r="G39" t="s">
        <v>47</v>
      </c>
    </row>
    <row r="40" spans="1:7" x14ac:dyDescent="0.3">
      <c r="D40" s="2">
        <f>SUM(D37:D39)</f>
        <v>26464</v>
      </c>
      <c r="F40" s="9">
        <f>D40/2</f>
        <v>13232</v>
      </c>
    </row>
    <row r="41" spans="1:7" x14ac:dyDescent="0.3">
      <c r="A41" t="s">
        <v>36</v>
      </c>
      <c r="F41" s="8"/>
    </row>
    <row r="42" spans="1:7" x14ac:dyDescent="0.3">
      <c r="F42" s="8"/>
    </row>
    <row r="43" spans="1:7" x14ac:dyDescent="0.3">
      <c r="A43" t="s">
        <v>12</v>
      </c>
      <c r="F43" s="8"/>
    </row>
    <row r="44" spans="1:7" x14ac:dyDescent="0.3">
      <c r="A44" t="s">
        <v>13</v>
      </c>
      <c r="D44" s="3">
        <v>5184</v>
      </c>
      <c r="F44" s="9">
        <f>D44/2</f>
        <v>2592</v>
      </c>
    </row>
    <row r="45" spans="1:7" x14ac:dyDescent="0.3">
      <c r="F45" s="8"/>
    </row>
    <row r="46" spans="1:7" x14ac:dyDescent="0.3">
      <c r="A46" t="s">
        <v>16</v>
      </c>
      <c r="F46" s="8"/>
    </row>
    <row r="47" spans="1:7" x14ac:dyDescent="0.3">
      <c r="A47" t="s">
        <v>17</v>
      </c>
      <c r="B47" s="6">
        <v>1000</v>
      </c>
      <c r="D47" s="2">
        <v>9600</v>
      </c>
      <c r="F47" s="9">
        <f>D47/2</f>
        <v>4800</v>
      </c>
      <c r="G47" t="s">
        <v>34</v>
      </c>
    </row>
    <row r="48" spans="1:7" x14ac:dyDescent="0.3">
      <c r="F48" s="8"/>
    </row>
    <row r="49" spans="1:7" x14ac:dyDescent="0.3">
      <c r="A49" t="s">
        <v>14</v>
      </c>
      <c r="D49" s="3">
        <f>32*150</f>
        <v>4800</v>
      </c>
      <c r="F49" s="9">
        <f>D49/2</f>
        <v>2400</v>
      </c>
      <c r="G49" t="s">
        <v>35</v>
      </c>
    </row>
    <row r="50" spans="1:7" x14ac:dyDescent="0.3">
      <c r="A50" t="s">
        <v>15</v>
      </c>
      <c r="D50" s="1"/>
    </row>
    <row r="51" spans="1:7" x14ac:dyDescent="0.3">
      <c r="C51" t="s">
        <v>19</v>
      </c>
      <c r="D51" s="1">
        <f>D28+D34+D40+D44+D47+D49</f>
        <v>178264.56909999999</v>
      </c>
    </row>
    <row r="53" spans="1:7" x14ac:dyDescent="0.3">
      <c r="C53" t="s">
        <v>40</v>
      </c>
      <c r="D53" t="s">
        <v>41</v>
      </c>
      <c r="E53" t="s">
        <v>7</v>
      </c>
      <c r="G53" s="1"/>
    </row>
    <row r="54" spans="1:7" x14ac:dyDescent="0.3">
      <c r="B54" t="s">
        <v>39</v>
      </c>
      <c r="C54" s="4">
        <v>77584</v>
      </c>
      <c r="D54" s="4">
        <f>(C54/0.9)-C54</f>
        <v>8620.444444444438</v>
      </c>
      <c r="E54" s="4">
        <f>C54+D54</f>
        <v>86204.444444444438</v>
      </c>
      <c r="F54" s="10"/>
    </row>
    <row r="55" spans="1:7" x14ac:dyDescent="0.3">
      <c r="B55" t="s">
        <v>2</v>
      </c>
      <c r="C55" s="4">
        <v>23800</v>
      </c>
      <c r="D55" s="4">
        <f t="shared" ref="D55" si="0">(C55/0.7)-C55</f>
        <v>10200</v>
      </c>
      <c r="E55" s="4">
        <f t="shared" ref="E55:E56" si="1">C55+D55</f>
        <v>34000</v>
      </c>
      <c r="F55" s="10"/>
    </row>
    <row r="56" spans="1:7" x14ac:dyDescent="0.3">
      <c r="B56" t="s">
        <v>9</v>
      </c>
      <c r="C56" s="4">
        <v>26464</v>
      </c>
      <c r="D56" s="4">
        <f>(C56/0.9)-C56</f>
        <v>2940.4444444444453</v>
      </c>
      <c r="E56" s="4">
        <f t="shared" si="1"/>
        <v>29404.444444444445</v>
      </c>
      <c r="F56" s="10"/>
    </row>
    <row r="57" spans="1:7" x14ac:dyDescent="0.3">
      <c r="B57" s="3" t="s">
        <v>42</v>
      </c>
      <c r="C57" s="5">
        <f>SUM(C54:C56)</f>
        <v>127848</v>
      </c>
      <c r="D57" s="5">
        <f>SUM(D54:D56)</f>
        <v>21760.888888888883</v>
      </c>
      <c r="E57" s="5">
        <f>SUM(E54:E56)</f>
        <v>149608.88888888888</v>
      </c>
      <c r="F57" s="11"/>
    </row>
    <row r="60" spans="1:7" x14ac:dyDescent="0.3">
      <c r="C60" t="s">
        <v>40</v>
      </c>
      <c r="D60" t="s">
        <v>41</v>
      </c>
      <c r="E60" t="s">
        <v>7</v>
      </c>
      <c r="G60" s="1"/>
    </row>
    <row r="61" spans="1:7" x14ac:dyDescent="0.3">
      <c r="B61" t="s">
        <v>39</v>
      </c>
      <c r="C61" s="4">
        <v>76236</v>
      </c>
      <c r="D61" s="4">
        <f>(C61/0.9)-C61</f>
        <v>8470.6666666666715</v>
      </c>
      <c r="E61" s="4">
        <f>C61+D61</f>
        <v>84706.666666666672</v>
      </c>
      <c r="F61" s="10"/>
    </row>
    <row r="62" spans="1:7" x14ac:dyDescent="0.3">
      <c r="B62" t="s">
        <v>2</v>
      </c>
      <c r="C62" s="4">
        <v>23800</v>
      </c>
      <c r="D62" s="4">
        <f t="shared" ref="D62" si="2">(C62/0.7)-C62</f>
        <v>10200</v>
      </c>
      <c r="E62" s="4">
        <f t="shared" ref="E62:E63" si="3">C62+D62</f>
        <v>34000</v>
      </c>
      <c r="F62" s="10"/>
    </row>
    <row r="63" spans="1:7" x14ac:dyDescent="0.3">
      <c r="B63" t="s">
        <v>9</v>
      </c>
      <c r="C63" s="4">
        <v>26698</v>
      </c>
      <c r="D63" s="4">
        <f>(C63/0.9)-C63</f>
        <v>2966.4444444444453</v>
      </c>
      <c r="E63" s="4">
        <f t="shared" si="3"/>
        <v>29664.444444444445</v>
      </c>
      <c r="F63" s="10"/>
    </row>
    <row r="64" spans="1:7" x14ac:dyDescent="0.3">
      <c r="B64" s="3" t="s">
        <v>42</v>
      </c>
      <c r="C64" s="5">
        <f>SUM(C61:C63)</f>
        <v>126734</v>
      </c>
      <c r="D64" s="5">
        <f>SUM(D61:D63)</f>
        <v>21637.111111111117</v>
      </c>
      <c r="E64" s="5">
        <f>SUM(E61:E63)</f>
        <v>148371.11111111112</v>
      </c>
      <c r="F6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3" workbookViewId="0">
      <selection activeCell="J49" sqref="J49"/>
    </sheetView>
  </sheetViews>
  <sheetFormatPr defaultColWidth="11.5546875" defaultRowHeight="14.4" x14ac:dyDescent="0.3"/>
  <sheetData>
    <row r="1" spans="1:6" s="12" customFormat="1" x14ac:dyDescent="0.3">
      <c r="A1" s="12" t="s">
        <v>82</v>
      </c>
    </row>
    <row r="2" spans="1:6" x14ac:dyDescent="0.3">
      <c r="A2" s="12" t="s">
        <v>61</v>
      </c>
    </row>
    <row r="4" spans="1:6" x14ac:dyDescent="0.3">
      <c r="A4" s="12" t="s">
        <v>62</v>
      </c>
    </row>
    <row r="5" spans="1:6" x14ac:dyDescent="0.3">
      <c r="A5" t="s">
        <v>66</v>
      </c>
      <c r="B5" t="s">
        <v>67</v>
      </c>
      <c r="C5" t="s">
        <v>69</v>
      </c>
      <c r="D5" t="s">
        <v>70</v>
      </c>
      <c r="E5" t="s">
        <v>71</v>
      </c>
      <c r="F5" t="s">
        <v>72</v>
      </c>
    </row>
    <row r="6" spans="1:6" x14ac:dyDescent="0.3">
      <c r="A6" t="s">
        <v>63</v>
      </c>
      <c r="B6">
        <v>62000</v>
      </c>
      <c r="C6" t="s">
        <v>68</v>
      </c>
      <c r="D6">
        <v>6200</v>
      </c>
      <c r="E6">
        <v>1860</v>
      </c>
      <c r="F6">
        <v>8060</v>
      </c>
    </row>
    <row r="7" spans="1:6" x14ac:dyDescent="0.3">
      <c r="A7" t="s">
        <v>64</v>
      </c>
      <c r="B7">
        <v>45000</v>
      </c>
      <c r="C7" t="s">
        <v>68</v>
      </c>
      <c r="D7">
        <v>11250</v>
      </c>
      <c r="E7">
        <v>3375</v>
      </c>
      <c r="F7">
        <v>14625</v>
      </c>
    </row>
    <row r="8" spans="1:6" x14ac:dyDescent="0.3">
      <c r="A8" t="s">
        <v>65</v>
      </c>
      <c r="B8">
        <v>53469</v>
      </c>
      <c r="C8" t="s">
        <v>68</v>
      </c>
      <c r="D8">
        <v>2673</v>
      </c>
      <c r="E8">
        <v>802</v>
      </c>
      <c r="F8">
        <v>3475</v>
      </c>
    </row>
    <row r="10" spans="1:6" s="12" customFormat="1" x14ac:dyDescent="0.3">
      <c r="A10" s="12" t="s">
        <v>75</v>
      </c>
    </row>
    <row r="11" spans="1:6" x14ac:dyDescent="0.3">
      <c r="A11" t="s">
        <v>74</v>
      </c>
      <c r="F11">
        <v>2205</v>
      </c>
    </row>
    <row r="13" spans="1:6" s="12" customFormat="1" x14ac:dyDescent="0.3">
      <c r="A13" s="12" t="s">
        <v>76</v>
      </c>
    </row>
    <row r="14" spans="1:6" x14ac:dyDescent="0.3">
      <c r="A14" t="s">
        <v>77</v>
      </c>
      <c r="F14">
        <v>2400</v>
      </c>
    </row>
    <row r="15" spans="1:6" x14ac:dyDescent="0.3">
      <c r="A15" t="s">
        <v>78</v>
      </c>
      <c r="F15">
        <v>2592</v>
      </c>
    </row>
    <row r="17" spans="1:10" s="12" customFormat="1" x14ac:dyDescent="0.3">
      <c r="A17" s="12" t="s">
        <v>79</v>
      </c>
    </row>
    <row r="18" spans="1:10" x14ac:dyDescent="0.3">
      <c r="A18" t="s">
        <v>80</v>
      </c>
      <c r="F18">
        <v>4800</v>
      </c>
    </row>
    <row r="19" spans="1:10" x14ac:dyDescent="0.3">
      <c r="A19" t="s">
        <v>81</v>
      </c>
      <c r="F19" s="1">
        <v>27921</v>
      </c>
      <c r="H19">
        <v>14699</v>
      </c>
    </row>
    <row r="20" spans="1:10" x14ac:dyDescent="0.3">
      <c r="H20">
        <v>17000</v>
      </c>
    </row>
    <row r="21" spans="1:10" s="12" customFormat="1" x14ac:dyDescent="0.3">
      <c r="A21" s="12" t="s">
        <v>87</v>
      </c>
      <c r="F21" s="12">
        <f>SUM(F6:F18)</f>
        <v>38157</v>
      </c>
      <c r="H21" s="12">
        <f>SUM(H19:H20)</f>
        <v>31699</v>
      </c>
      <c r="J21" s="12">
        <v>31699</v>
      </c>
    </row>
    <row r="22" spans="1:10" x14ac:dyDescent="0.3">
      <c r="A22" t="s">
        <v>88</v>
      </c>
      <c r="F22" s="14">
        <f>SUM(F21/0.9)-F21</f>
        <v>4239.6666666666642</v>
      </c>
      <c r="G22" s="13"/>
    </row>
    <row r="23" spans="1:10" s="12" customFormat="1" x14ac:dyDescent="0.3">
      <c r="A23" s="12" t="s">
        <v>7</v>
      </c>
      <c r="F23" s="16">
        <f>SUM(F21:F22)</f>
        <v>42396.666666666664</v>
      </c>
      <c r="J23" s="12">
        <v>42397</v>
      </c>
    </row>
    <row r="25" spans="1:10" x14ac:dyDescent="0.3">
      <c r="A25" s="12" t="s">
        <v>73</v>
      </c>
    </row>
    <row r="27" spans="1:10" x14ac:dyDescent="0.3">
      <c r="A27" s="12" t="s">
        <v>62</v>
      </c>
    </row>
    <row r="28" spans="1:10" x14ac:dyDescent="0.3">
      <c r="A28" t="s">
        <v>66</v>
      </c>
      <c r="B28" t="s">
        <v>67</v>
      </c>
      <c r="C28" t="s">
        <v>69</v>
      </c>
      <c r="D28" t="s">
        <v>70</v>
      </c>
      <c r="E28" t="s">
        <v>71</v>
      </c>
      <c r="F28" t="s">
        <v>72</v>
      </c>
    </row>
    <row r="29" spans="1:10" x14ac:dyDescent="0.3">
      <c r="A29" t="s">
        <v>63</v>
      </c>
      <c r="B29">
        <v>63860</v>
      </c>
      <c r="C29" t="s">
        <v>68</v>
      </c>
      <c r="D29">
        <v>6386</v>
      </c>
      <c r="E29">
        <v>1916</v>
      </c>
      <c r="F29">
        <v>8302</v>
      </c>
    </row>
    <row r="30" spans="1:10" x14ac:dyDescent="0.3">
      <c r="A30" t="s">
        <v>64</v>
      </c>
      <c r="B30">
        <v>46350</v>
      </c>
      <c r="C30" t="s">
        <v>68</v>
      </c>
      <c r="D30">
        <v>11588</v>
      </c>
      <c r="E30">
        <v>3476</v>
      </c>
      <c r="F30">
        <v>15064</v>
      </c>
    </row>
    <row r="31" spans="1:10" x14ac:dyDescent="0.3">
      <c r="A31" t="s">
        <v>65</v>
      </c>
      <c r="B31">
        <v>55073</v>
      </c>
      <c r="C31" t="s">
        <v>68</v>
      </c>
      <c r="D31">
        <v>2754</v>
      </c>
      <c r="E31">
        <v>826</v>
      </c>
      <c r="F31">
        <v>3580</v>
      </c>
    </row>
    <row r="33" spans="1:10" s="12" customFormat="1" x14ac:dyDescent="0.3">
      <c r="A33" s="12" t="s">
        <v>75</v>
      </c>
    </row>
    <row r="34" spans="1:10" x14ac:dyDescent="0.3">
      <c r="A34" t="s">
        <v>74</v>
      </c>
      <c r="F34">
        <v>1341</v>
      </c>
    </row>
    <row r="36" spans="1:10" s="12" customFormat="1" x14ac:dyDescent="0.3">
      <c r="A36" s="12" t="s">
        <v>76</v>
      </c>
    </row>
    <row r="37" spans="1:10" x14ac:dyDescent="0.3">
      <c r="A37" t="s">
        <v>77</v>
      </c>
      <c r="F37">
        <v>2400</v>
      </c>
    </row>
    <row r="38" spans="1:10" x14ac:dyDescent="0.3">
      <c r="A38" t="s">
        <v>78</v>
      </c>
      <c r="F38">
        <v>2592</v>
      </c>
    </row>
    <row r="40" spans="1:10" s="12" customFormat="1" x14ac:dyDescent="0.3">
      <c r="A40" s="12" t="s">
        <v>79</v>
      </c>
    </row>
    <row r="41" spans="1:10" x14ac:dyDescent="0.3">
      <c r="A41" t="s">
        <v>80</v>
      </c>
      <c r="F41">
        <v>4800</v>
      </c>
    </row>
    <row r="42" spans="1:10" s="12" customFormat="1" x14ac:dyDescent="0.3">
      <c r="A42" s="12" t="s">
        <v>81</v>
      </c>
      <c r="F42" s="17">
        <v>28188</v>
      </c>
      <c r="H42" s="12">
        <v>14966</v>
      </c>
    </row>
    <row r="43" spans="1:10" x14ac:dyDescent="0.3">
      <c r="H43">
        <v>17000</v>
      </c>
    </row>
    <row r="44" spans="1:10" x14ac:dyDescent="0.3">
      <c r="H44" s="12">
        <f>SUM(H42:H43)</f>
        <v>31966</v>
      </c>
      <c r="J44" s="12">
        <v>31966</v>
      </c>
    </row>
    <row r="45" spans="1:10" s="12" customFormat="1" x14ac:dyDescent="0.3">
      <c r="A45" s="12" t="s">
        <v>87</v>
      </c>
      <c r="F45" s="12">
        <f>SUM(F29:F41)</f>
        <v>38079</v>
      </c>
    </row>
    <row r="46" spans="1:10" x14ac:dyDescent="0.3">
      <c r="A46" t="s">
        <v>88</v>
      </c>
      <c r="F46" s="14">
        <f>SUM(F45/0.9)-F45</f>
        <v>4231</v>
      </c>
      <c r="G46" s="13"/>
    </row>
    <row r="47" spans="1:10" s="12" customFormat="1" x14ac:dyDescent="0.3">
      <c r="A47" s="12" t="s">
        <v>7</v>
      </c>
      <c r="F47" s="16">
        <f>SUM(F45:F46)</f>
        <v>42310</v>
      </c>
      <c r="J47" s="12">
        <v>42310</v>
      </c>
    </row>
    <row r="49" spans="10:10" x14ac:dyDescent="0.3">
      <c r="J49" s="12">
        <f>SUM(J6:J47)</f>
        <v>148372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" workbookViewId="0">
      <selection activeCell="D14" sqref="D14"/>
    </sheetView>
  </sheetViews>
  <sheetFormatPr defaultColWidth="11.5546875" defaultRowHeight="14.4" x14ac:dyDescent="0.3"/>
  <sheetData>
    <row r="1" spans="1:6" s="12" customFormat="1" x14ac:dyDescent="0.3">
      <c r="A1" s="12" t="s">
        <v>2</v>
      </c>
    </row>
    <row r="2" spans="1:6" x14ac:dyDescent="0.3">
      <c r="A2" s="12" t="s">
        <v>61</v>
      </c>
    </row>
    <row r="4" spans="1:6" x14ac:dyDescent="0.3">
      <c r="A4" s="12" t="s">
        <v>62</v>
      </c>
    </row>
    <row r="5" spans="1:6" x14ac:dyDescent="0.3">
      <c r="A5" t="s">
        <v>66</v>
      </c>
      <c r="B5" t="s">
        <v>67</v>
      </c>
      <c r="C5" t="s">
        <v>69</v>
      </c>
      <c r="D5" t="s">
        <v>70</v>
      </c>
      <c r="E5" t="s">
        <v>71</v>
      </c>
      <c r="F5" t="s">
        <v>72</v>
      </c>
    </row>
    <row r="6" spans="1:6" x14ac:dyDescent="0.3">
      <c r="A6" t="s">
        <v>96</v>
      </c>
      <c r="B6" s="1">
        <v>55256</v>
      </c>
      <c r="C6" t="s">
        <v>68</v>
      </c>
      <c r="D6" s="14">
        <v>5983.5</v>
      </c>
      <c r="E6" s="14">
        <v>1903</v>
      </c>
      <c r="F6" s="14">
        <f>SUM(D6:E6)</f>
        <v>7886.5</v>
      </c>
    </row>
    <row r="7" spans="1:6" x14ac:dyDescent="0.3">
      <c r="B7" s="1"/>
      <c r="D7" s="14"/>
      <c r="E7" s="14"/>
      <c r="F7" s="14"/>
    </row>
    <row r="8" spans="1:6" s="12" customFormat="1" x14ac:dyDescent="0.3">
      <c r="A8" s="12" t="s">
        <v>92</v>
      </c>
      <c r="B8" s="17"/>
      <c r="D8" s="16"/>
      <c r="E8" s="16"/>
      <c r="F8" s="16"/>
    </row>
    <row r="9" spans="1:6" x14ac:dyDescent="0.3">
      <c r="A9" t="s">
        <v>90</v>
      </c>
      <c r="C9" t="s">
        <v>68</v>
      </c>
      <c r="D9">
        <v>1750</v>
      </c>
      <c r="F9">
        <v>1750</v>
      </c>
    </row>
    <row r="10" spans="1:6" x14ac:dyDescent="0.3">
      <c r="A10" t="s">
        <v>93</v>
      </c>
      <c r="C10" t="s">
        <v>68</v>
      </c>
      <c r="D10">
        <v>300</v>
      </c>
      <c r="E10">
        <v>0</v>
      </c>
      <c r="F10">
        <v>300</v>
      </c>
    </row>
    <row r="13" spans="1:6" s="12" customFormat="1" x14ac:dyDescent="0.3">
      <c r="A13" s="12" t="s">
        <v>79</v>
      </c>
    </row>
    <row r="14" spans="1:6" s="15" customFormat="1" x14ac:dyDescent="0.3">
      <c r="A14" s="15" t="s">
        <v>91</v>
      </c>
      <c r="F14" s="15">
        <v>1963</v>
      </c>
    </row>
    <row r="15" spans="1:6" x14ac:dyDescent="0.3">
      <c r="A15" t="s">
        <v>80</v>
      </c>
    </row>
    <row r="17" spans="1:8" x14ac:dyDescent="0.3">
      <c r="A17" s="12" t="s">
        <v>87</v>
      </c>
      <c r="F17" s="14">
        <f>SUM(F6:F15)</f>
        <v>11899.5</v>
      </c>
    </row>
    <row r="18" spans="1:8" x14ac:dyDescent="0.3">
      <c r="A18" t="s">
        <v>88</v>
      </c>
      <c r="F18" s="14">
        <f>SUM(F17/0.7)-F17</f>
        <v>5099.7857142857138</v>
      </c>
      <c r="G18" s="13"/>
    </row>
    <row r="19" spans="1:8" x14ac:dyDescent="0.3">
      <c r="A19" s="12" t="s">
        <v>7</v>
      </c>
      <c r="F19" s="18">
        <f>SUM(F17:F18)</f>
        <v>16999.285714285714</v>
      </c>
      <c r="G19" s="19" t="s">
        <v>95</v>
      </c>
      <c r="H19" s="19"/>
    </row>
    <row r="22" spans="1:8" x14ac:dyDescent="0.3">
      <c r="A22" s="12" t="s">
        <v>73</v>
      </c>
    </row>
    <row r="24" spans="1:8" x14ac:dyDescent="0.3">
      <c r="A24" s="12" t="s">
        <v>62</v>
      </c>
    </row>
    <row r="25" spans="1:8" x14ac:dyDescent="0.3">
      <c r="A25" t="s">
        <v>66</v>
      </c>
      <c r="B25" t="s">
        <v>67</v>
      </c>
      <c r="C25" t="s">
        <v>69</v>
      </c>
      <c r="D25" t="s">
        <v>70</v>
      </c>
      <c r="E25" t="s">
        <v>71</v>
      </c>
      <c r="F25" t="s">
        <v>72</v>
      </c>
    </row>
    <row r="26" spans="1:8" x14ac:dyDescent="0.3">
      <c r="A26" t="s">
        <v>96</v>
      </c>
      <c r="B26" s="1">
        <v>55256</v>
      </c>
      <c r="C26" t="s">
        <v>68</v>
      </c>
      <c r="D26" s="14">
        <v>5983.5</v>
      </c>
      <c r="E26" s="14">
        <v>1903</v>
      </c>
      <c r="F26" s="14">
        <f>SUM(D26:E26)</f>
        <v>7886.5</v>
      </c>
    </row>
    <row r="27" spans="1:8" x14ac:dyDescent="0.3">
      <c r="B27" s="1"/>
      <c r="D27" s="14"/>
      <c r="E27" s="14"/>
      <c r="F27" s="14"/>
    </row>
    <row r="28" spans="1:8" s="12" customFormat="1" x14ac:dyDescent="0.3">
      <c r="A28" s="12" t="s">
        <v>92</v>
      </c>
      <c r="B28" s="17"/>
      <c r="D28" s="16"/>
      <c r="E28" s="16"/>
      <c r="F28" s="16"/>
    </row>
    <row r="29" spans="1:8" x14ac:dyDescent="0.3">
      <c r="A29" t="s">
        <v>90</v>
      </c>
      <c r="C29" t="s">
        <v>68</v>
      </c>
      <c r="D29">
        <v>1750</v>
      </c>
      <c r="F29">
        <v>1750</v>
      </c>
    </row>
    <row r="30" spans="1:8" x14ac:dyDescent="0.3">
      <c r="A30" t="s">
        <v>93</v>
      </c>
      <c r="C30" t="s">
        <v>68</v>
      </c>
      <c r="D30">
        <v>300</v>
      </c>
      <c r="E30">
        <v>0</v>
      </c>
      <c r="F30">
        <v>300</v>
      </c>
    </row>
    <row r="33" spans="1:10" s="12" customFormat="1" x14ac:dyDescent="0.3">
      <c r="A33" s="12" t="s">
        <v>79</v>
      </c>
    </row>
    <row r="34" spans="1:10" s="15" customFormat="1" x14ac:dyDescent="0.3">
      <c r="A34" s="15" t="s">
        <v>91</v>
      </c>
      <c r="F34" s="15">
        <v>1963</v>
      </c>
    </row>
    <row r="35" spans="1:10" x14ac:dyDescent="0.3">
      <c r="A35" t="s">
        <v>80</v>
      </c>
    </row>
    <row r="37" spans="1:10" x14ac:dyDescent="0.3">
      <c r="A37" s="12" t="s">
        <v>87</v>
      </c>
      <c r="F37" s="14">
        <f>SUM(F26:F35)</f>
        <v>11899.5</v>
      </c>
    </row>
    <row r="38" spans="1:10" x14ac:dyDescent="0.3">
      <c r="A38" t="s">
        <v>88</v>
      </c>
      <c r="F38" s="14">
        <f>SUM(F37/0.7)-F37</f>
        <v>5099.7857142857138</v>
      </c>
      <c r="G38" s="13"/>
    </row>
    <row r="39" spans="1:10" x14ac:dyDescent="0.3">
      <c r="A39" s="12" t="s">
        <v>7</v>
      </c>
      <c r="F39" s="18">
        <f>F37+F38</f>
        <v>16999.285714285714</v>
      </c>
      <c r="G39" s="19" t="s">
        <v>94</v>
      </c>
      <c r="H39" s="19"/>
      <c r="I39" s="19"/>
      <c r="J39" s="19"/>
    </row>
    <row r="42" spans="1:10" x14ac:dyDescent="0.3">
      <c r="D42" s="1"/>
      <c r="F42" s="8"/>
    </row>
    <row r="43" spans="1:10" x14ac:dyDescent="0.3">
      <c r="D43" s="1"/>
      <c r="F43" s="8"/>
    </row>
    <row r="44" spans="1:10" x14ac:dyDescent="0.3">
      <c r="F44" s="8"/>
    </row>
    <row r="45" spans="1:10" x14ac:dyDescent="0.3">
      <c r="D45" s="1"/>
      <c r="F45" s="8"/>
    </row>
    <row r="46" spans="1:10" x14ac:dyDescent="0.3">
      <c r="D46" s="2"/>
      <c r="F46" s="9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9" workbookViewId="0">
      <selection activeCell="R19" sqref="R19:R20"/>
    </sheetView>
  </sheetViews>
  <sheetFormatPr defaultColWidth="11.5546875" defaultRowHeight="14.4" x14ac:dyDescent="0.3"/>
  <sheetData>
    <row r="1" spans="1:7" s="12" customFormat="1" x14ac:dyDescent="0.3">
      <c r="A1" s="12" t="s">
        <v>2</v>
      </c>
    </row>
    <row r="2" spans="1:7" x14ac:dyDescent="0.3">
      <c r="A2" s="12" t="s">
        <v>61</v>
      </c>
    </row>
    <row r="4" spans="1:7" x14ac:dyDescent="0.3">
      <c r="A4" s="12" t="s">
        <v>62</v>
      </c>
    </row>
    <row r="5" spans="1:7" x14ac:dyDescent="0.3">
      <c r="A5" t="s">
        <v>66</v>
      </c>
      <c r="B5" t="s">
        <v>67</v>
      </c>
      <c r="C5" t="s">
        <v>69</v>
      </c>
      <c r="D5" t="s">
        <v>70</v>
      </c>
      <c r="E5" t="s">
        <v>71</v>
      </c>
      <c r="F5" t="s">
        <v>72</v>
      </c>
    </row>
    <row r="6" spans="1:7" x14ac:dyDescent="0.3">
      <c r="A6" t="s">
        <v>84</v>
      </c>
      <c r="D6">
        <v>7260</v>
      </c>
      <c r="E6">
        <v>726</v>
      </c>
      <c r="F6">
        <v>7986</v>
      </c>
    </row>
    <row r="8" spans="1:7" s="12" customFormat="1" x14ac:dyDescent="0.3">
      <c r="A8" s="12" t="s">
        <v>75</v>
      </c>
    </row>
    <row r="9" spans="1:7" x14ac:dyDescent="0.3">
      <c r="A9" t="s">
        <v>74</v>
      </c>
    </row>
    <row r="10" spans="1:7" x14ac:dyDescent="0.3">
      <c r="B10" t="s">
        <v>85</v>
      </c>
      <c r="E10" s="1"/>
      <c r="F10">
        <v>119</v>
      </c>
      <c r="G10" s="8"/>
    </row>
    <row r="11" spans="1:7" x14ac:dyDescent="0.3">
      <c r="B11" t="s">
        <v>86</v>
      </c>
      <c r="E11" s="1"/>
      <c r="F11">
        <v>324</v>
      </c>
      <c r="G11" s="8"/>
    </row>
    <row r="14" spans="1:7" s="12" customFormat="1" x14ac:dyDescent="0.3">
      <c r="A14" s="12" t="s">
        <v>79</v>
      </c>
    </row>
    <row r="15" spans="1:7" x14ac:dyDescent="0.3">
      <c r="A15" t="s">
        <v>80</v>
      </c>
      <c r="F15">
        <v>4800</v>
      </c>
    </row>
    <row r="17" spans="1:7" x14ac:dyDescent="0.3">
      <c r="A17" s="12" t="s">
        <v>87</v>
      </c>
      <c r="F17">
        <f>SUM(F6:F15)</f>
        <v>13229</v>
      </c>
    </row>
    <row r="18" spans="1:7" x14ac:dyDescent="0.3">
      <c r="A18" t="s">
        <v>88</v>
      </c>
      <c r="F18" s="14">
        <f>SUM(F17/0.9)-F17</f>
        <v>1469.8888888888887</v>
      </c>
      <c r="G18" s="13"/>
    </row>
    <row r="19" spans="1:7" x14ac:dyDescent="0.3">
      <c r="A19" s="12" t="s">
        <v>7</v>
      </c>
      <c r="F19" s="14">
        <f>SUM(F17:F18)</f>
        <v>14698.888888888889</v>
      </c>
    </row>
    <row r="21" spans="1:7" x14ac:dyDescent="0.3">
      <c r="A21" s="12" t="s">
        <v>73</v>
      </c>
    </row>
    <row r="23" spans="1:7" x14ac:dyDescent="0.3">
      <c r="A23" s="12" t="s">
        <v>62</v>
      </c>
    </row>
    <row r="24" spans="1:7" x14ac:dyDescent="0.3">
      <c r="A24" t="s">
        <v>66</v>
      </c>
      <c r="B24" t="s">
        <v>67</v>
      </c>
      <c r="C24" t="s">
        <v>69</v>
      </c>
      <c r="D24" t="s">
        <v>70</v>
      </c>
      <c r="E24" t="s">
        <v>71</v>
      </c>
      <c r="F24" t="s">
        <v>72</v>
      </c>
    </row>
    <row r="25" spans="1:7" x14ac:dyDescent="0.3">
      <c r="A25" t="s">
        <v>84</v>
      </c>
      <c r="D25">
        <v>7478</v>
      </c>
      <c r="E25">
        <v>748</v>
      </c>
      <c r="F25">
        <v>8226</v>
      </c>
    </row>
    <row r="27" spans="1:7" s="12" customFormat="1" x14ac:dyDescent="0.3">
      <c r="A27" s="12" t="s">
        <v>75</v>
      </c>
    </row>
    <row r="28" spans="1:7" x14ac:dyDescent="0.3">
      <c r="A28" t="s">
        <v>74</v>
      </c>
    </row>
    <row r="29" spans="1:7" x14ac:dyDescent="0.3">
      <c r="B29" t="s">
        <v>85</v>
      </c>
      <c r="E29" s="1"/>
      <c r="F29">
        <v>119</v>
      </c>
      <c r="G29" s="8"/>
    </row>
    <row r="30" spans="1:7" x14ac:dyDescent="0.3">
      <c r="B30" t="s">
        <v>86</v>
      </c>
      <c r="E30" s="1"/>
      <c r="F30">
        <v>324</v>
      </c>
      <c r="G30" s="8"/>
    </row>
    <row r="33" spans="1:7" s="12" customFormat="1" x14ac:dyDescent="0.3">
      <c r="A33" s="12" t="s">
        <v>79</v>
      </c>
    </row>
    <row r="34" spans="1:7" x14ac:dyDescent="0.3">
      <c r="A34" t="s">
        <v>80</v>
      </c>
      <c r="F34">
        <v>4800</v>
      </c>
    </row>
    <row r="37" spans="1:7" x14ac:dyDescent="0.3">
      <c r="A37" s="12" t="s">
        <v>87</v>
      </c>
      <c r="F37">
        <f>SUM(F23:F35)</f>
        <v>13469</v>
      </c>
    </row>
    <row r="38" spans="1:7" x14ac:dyDescent="0.3">
      <c r="A38" t="s">
        <v>88</v>
      </c>
      <c r="F38" s="14">
        <f>SUM(F37/0.9)-F37</f>
        <v>1496.5555555555547</v>
      </c>
      <c r="G38" s="13"/>
    </row>
    <row r="39" spans="1:7" x14ac:dyDescent="0.3">
      <c r="A39" s="12" t="s">
        <v>7</v>
      </c>
      <c r="F39" s="14">
        <f>SUM(F37:F38)</f>
        <v>14965.555555555555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Jan's Changes</vt:lpstr>
      <vt:lpstr>Jan's Calcs</vt:lpstr>
      <vt:lpstr>RTC Budget Form</vt:lpstr>
      <vt:lpstr>MISA Budget Form</vt:lpstr>
      <vt:lpstr>MFMA Budget Form</vt:lpstr>
    </vt:vector>
  </TitlesOfParts>
  <Company>University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 Jewett</dc:creator>
  <cp:lastModifiedBy>Jane G Jewett</cp:lastModifiedBy>
  <dcterms:created xsi:type="dcterms:W3CDTF">2016-05-25T17:13:20Z</dcterms:created>
  <dcterms:modified xsi:type="dcterms:W3CDTF">2016-06-02T03:56:20Z</dcterms:modified>
</cp:coreProperties>
</file>